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arlosblanco/Desktop/"/>
    </mc:Choice>
  </mc:AlternateContent>
  <xr:revisionPtr revIDLastSave="0" documentId="8_{FDA192F2-3BF0-0A4A-B3DE-DC3BADC7C8EB}" xr6:coauthVersionLast="47" xr6:coauthVersionMax="47" xr10:uidLastSave="{00000000-0000-0000-0000-000000000000}"/>
  <bookViews>
    <workbookView xWindow="0" yWindow="620" windowWidth="29040" windowHeight="15720" xr2:uid="{26312B38-90AF-47BC-A655-F8D5EC3AB450}"/>
  </bookViews>
  <sheets>
    <sheet name="Summary" sheetId="6" r:id="rId1"/>
    <sheet name="RAJR 2021" sheetId="1" r:id="rId2"/>
    <sheet name="Individual" sheetId="2" r:id="rId3"/>
    <sheet name="Trust" sheetId="4" r:id="rId4"/>
    <sheet name="Quarantine Tech" sheetId="5" r:id="rId5"/>
    <sheet name="ESP Apartments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6" l="1"/>
  <c r="F32" i="6"/>
  <c r="D32" i="6"/>
  <c r="E29" i="6"/>
  <c r="E30" i="6"/>
  <c r="H27" i="6"/>
  <c r="I27" i="6"/>
  <c r="J27" i="6"/>
  <c r="E28" i="6"/>
  <c r="F27" i="6"/>
  <c r="D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</calcChain>
</file>

<file path=xl/sharedStrings.xml><?xml version="1.0" encoding="utf-8"?>
<sst xmlns="http://schemas.openxmlformats.org/spreadsheetml/2006/main" count="260" uniqueCount="90">
  <si>
    <t>Symbol</t>
  </si>
  <si>
    <t>Name</t>
  </si>
  <si>
    <t>Acquired/Opened</t>
  </si>
  <si>
    <t>Quantity</t>
  </si>
  <si>
    <t>Market Value</t>
  </si>
  <si>
    <t>Cost Basis</t>
  </si>
  <si>
    <t xml:space="preserve"> Cost per Share</t>
  </si>
  <si>
    <t>($)Unrealized Gain/(Loss)</t>
  </si>
  <si>
    <t>(%)Unrealized Gain/(Loss)</t>
  </si>
  <si>
    <t>Holding Period</t>
  </si>
  <si>
    <t>Notes</t>
  </si>
  <si>
    <t>Original Cost Basis</t>
  </si>
  <si>
    <t>($)Original UGL Gain/Loss</t>
  </si>
  <si>
    <t>(%)Original UGL Gain/Loss</t>
  </si>
  <si>
    <t>912810FB9</t>
  </si>
  <si>
    <t>US TREASURY  6.125%11/27UST BOND    DUE 11/15/27</t>
  </si>
  <si>
    <t>91282CLS8</t>
  </si>
  <si>
    <t>US TREASU NT 4.125%10/26UST NOTE    DUE 10/31/26</t>
  </si>
  <si>
    <t>912810UJ5</t>
  </si>
  <si>
    <t>US TREASURY   4.75%02/45UST BOND    DUE 02/15/45</t>
  </si>
  <si>
    <t>91282CLW9</t>
  </si>
  <si>
    <t>US TREASUR NT 4.25%11/34UST NOTE    DUE 11/15/34</t>
  </si>
  <si>
    <t>91282CNV9</t>
  </si>
  <si>
    <t>US TREASU NT 3.625%08/27UST NOTE    DUE 08/31/27</t>
  </si>
  <si>
    <t>912810EY0</t>
  </si>
  <si>
    <t>US TREASURY    6.5%11/26UST BOND    DUE 11/15/26</t>
  </si>
  <si>
    <t>912810RE0</t>
  </si>
  <si>
    <t>US TREASURY  3.625%02/44UST BOND    DUE 02/15/44</t>
  </si>
  <si>
    <t>912810TX6</t>
  </si>
  <si>
    <t>US TREASURY   4.25%02/54UST BOND    DUE 02/15/54</t>
  </si>
  <si>
    <t>912810UB2</t>
  </si>
  <si>
    <t>US TREASURY  4.625%05/44UST BOND    DUE 05/15/44</t>
  </si>
  <si>
    <t>912810UE6</t>
  </si>
  <si>
    <t>US TREASURY    4.5%11/54UST BOND    DUE 11/15/54</t>
  </si>
  <si>
    <t>912810UF3</t>
  </si>
  <si>
    <t>US TREASURY  4.625%11/44UST BOND    DUE 11/15/44</t>
  </si>
  <si>
    <t>91282CFM8</t>
  </si>
  <si>
    <t>US TREASU NT 4.125%09/27UST NOTE    DUE 09/30/27</t>
  </si>
  <si>
    <t>91282CJJ1</t>
  </si>
  <si>
    <t>US TREASUR  NT 4.5%11/33UST NOTE    DUE 11/15/33</t>
  </si>
  <si>
    <t>91282CJQ5</t>
  </si>
  <si>
    <t>US TREASUR NT 3.75%12/30UST NOTE    DUE 12/31/30</t>
  </si>
  <si>
    <t>91282CJZ5</t>
  </si>
  <si>
    <t>US TREASUR    NT 4%02/34UST NOTE    DUE 02/15/34</t>
  </si>
  <si>
    <t>91282CLY5</t>
  </si>
  <si>
    <t>US TREASUR NT 4.25%11/26UST NOTE    DUE 11/30/26</t>
  </si>
  <si>
    <t>91282CNC1</t>
  </si>
  <si>
    <t>US TREASUR NT 4.25%05/35UST NOTE    DUE 05/15/35</t>
  </si>
  <si>
    <t>91282CPB1</t>
  </si>
  <si>
    <t>US TREASUR  NT 3.5%09/27UST NOTE    DUE 09/30/27</t>
  </si>
  <si>
    <t>Various</t>
  </si>
  <si>
    <t>912810UA4</t>
  </si>
  <si>
    <t>US TREASURY  4.625%05/54UST BOND    DUE 05/15/54</t>
  </si>
  <si>
    <t>912810UC0</t>
  </si>
  <si>
    <t>US TREASURY   4.25%08/54UST BOND    DUE 08/15/54</t>
  </si>
  <si>
    <t>91282CMM0</t>
  </si>
  <si>
    <t>US TREASU NT 4.625%02/35UST NOTE    DUE 02/15/35</t>
  </si>
  <si>
    <t>91282CPA3</t>
  </si>
  <si>
    <t>US TREASU NT 3.625%09/30UST NOTE    DUE 09/30/30</t>
  </si>
  <si>
    <t>91282CKQ3</t>
  </si>
  <si>
    <t>US TREASU NT 4.375%05/34UST NOTE    DUE 05/15/34</t>
  </si>
  <si>
    <t>Symbol/CUSIP</t>
  </si>
  <si>
    <t>Price</t>
  </si>
  <si>
    <t>Maturity Date</t>
  </si>
  <si>
    <t>Coupon Rate</t>
  </si>
  <si>
    <t>US TREASURY 6.5%11/26UST BOND DUE 11/15/26</t>
  </si>
  <si>
    <t>US TREASURY 6.125%11/27UST BOND DUE 11/15/27</t>
  </si>
  <si>
    <t>US TREASURY 3.625%02/44UST BOND DUE 02/15/44</t>
  </si>
  <si>
    <t>US TREASURY 4.25%02/54UST BOND DUE 02/15/54</t>
  </si>
  <si>
    <t>US TREASURY 4.625%05/54UST BOND DUE 05/15/54</t>
  </si>
  <si>
    <t>US TREASURY 4.625%05/44UST BOND DUE 05/15/44</t>
  </si>
  <si>
    <t>US TREASURY 4.25%08/54UST BOND DUE 08/15/54</t>
  </si>
  <si>
    <t>US TREASURY 4.5%11/54UST BOND DUE 11/15/54</t>
  </si>
  <si>
    <t>US TREASURY 4.625%11/44UST BOND DUE 11/15/44</t>
  </si>
  <si>
    <t>US TREASURY 4.75%02/45UST BOND DUE 02/15/45</t>
  </si>
  <si>
    <t>US TREASU NT 4.125%09/27UST NOTE DUE 09/30/27</t>
  </si>
  <si>
    <t>US TREASUR NT 4.5%11/33UST NOTE DUE 11/15/33</t>
  </si>
  <si>
    <t>US TREASUR NT 3.75%12/30UST NOTE DUE 12/31/30</t>
  </si>
  <si>
    <t>US TREASUR NT 4%02/34UST NOTE DUE 02/15/34</t>
  </si>
  <si>
    <t>US TREASU NT 4.375%05/34UST NOTE DUE 05/15/34</t>
  </si>
  <si>
    <t>US TREASU NT 4.125%10/26UST NOTE DUE 10/31/26</t>
  </si>
  <si>
    <t>US TREASUR NT 4.25%11/34UST NOTE DUE 11/15/34</t>
  </si>
  <si>
    <t>US TREASUR NT 4.25%11/26UST NOTE DUE 11/30/26</t>
  </si>
  <si>
    <t>US TREASU NT 4.625%02/35UST NOTE DUE 02/15/35</t>
  </si>
  <si>
    <t>US TREASUR NT 4.25%05/35UST NOTE DUE 05/15/35</t>
  </si>
  <si>
    <t>US TREASU NT 3.625%08/27UST NOTE DUE 08/31/27</t>
  </si>
  <si>
    <t>US TREASU NT 3.625%09/30UST NOTE DUE 09/30/30</t>
  </si>
  <si>
    <t>US TREASUR NT 3.5%09/27UST NOTE DUE 09/30/27</t>
  </si>
  <si>
    <t>Yield</t>
  </si>
  <si>
    <t xml:space="preserve">% of Account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</si>
</sst>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* #,##0.00_);_(* \(#,##0.00\);_(* &quot;-&quot;??_);_(@_)"/>
    <numFmt numFmtId="166" formatCode="&quot;$&quot;#,##0.00;[Red]&quot;$&quot;#,##0.0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0" applyNumberFormat="1"/>
    <xf numFmtId="10" fontId="0" fillId="0" borderId="0" xfId="0" applyNumberFormat="1"/>
    <xf numFmtId="14" fontId="0" fillId="0" borderId="0" xfId="0" applyNumberFormat="1"/>
    <xf numFmtId="165" fontId="0" fillId="0" borderId="0" xfId="1" applyFont="1"/>
    <xf numFmtId="4" fontId="0" fillId="0" borderId="0" xfId="0" applyNumberFormat="1"/>
    <xf numFmtId="9" fontId="0" fillId="0" borderId="0" xfId="2" applyFont="1"/>
    <xf numFmtId="9" fontId="0" fillId="0" borderId="0" xfId="2" applyFont="1" applyAlignment="1">
      <alignment wrapText="1"/>
    </xf>
    <xf numFmtId="10" fontId="0" fillId="0" borderId="0" xfId="2" applyNumberFormat="1" applyFont="1"/>
    <xf numFmtId="166" fontId="0" fillId="0" borderId="0" xfId="0" applyNumberFormat="1"/>
    <xf numFmtId="2" fontId="0" fillId="0" borderId="0" xfId="0" applyNumberFormat="1"/>
    <xf numFmtId="0" fontId="0" fillId="2" borderId="0" xfId="0" applyFill="1"/>
    <xf numFmtId="4" fontId="0" fillId="2" borderId="0" xfId="0" applyNumberFormat="1" applyFill="1"/>
    <xf numFmtId="164" fontId="0" fillId="2" borderId="0" xfId="0" applyNumberFormat="1" applyFill="1"/>
    <xf numFmtId="14" fontId="0" fillId="2" borderId="0" xfId="0" applyNumberFormat="1" applyFill="1"/>
    <xf numFmtId="10" fontId="0" fillId="2" borderId="0" xfId="2" applyNumberFormat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FE3A4-A795-499F-AF4A-BE3171829CCC}">
  <dimension ref="A1:J33"/>
  <sheetViews>
    <sheetView tabSelected="1" zoomScaleNormal="100" workbookViewId="0">
      <selection activeCell="E33" sqref="E33"/>
    </sheetView>
  </sheetViews>
  <sheetFormatPr baseColWidth="10" defaultColWidth="8.83203125" defaultRowHeight="15" x14ac:dyDescent="0.2"/>
  <cols>
    <col min="1" max="1" width="9.5" bestFit="1" customWidth="1"/>
    <col min="2" max="2" width="13.5" bestFit="1" customWidth="1"/>
    <col min="3" max="3" width="46.33203125" bestFit="1" customWidth="1"/>
    <col min="4" max="5" width="12.6640625" bestFit="1" customWidth="1"/>
    <col min="6" max="6" width="14.5" bestFit="1" customWidth="1"/>
    <col min="7" max="7" width="12.6640625" bestFit="1" customWidth="1"/>
    <col min="8" max="8" width="12.5" bestFit="1" customWidth="1"/>
    <col min="9" max="9" width="12.6640625" bestFit="1" customWidth="1"/>
    <col min="10" max="10" width="8.83203125" style="6" customWidth="1"/>
  </cols>
  <sheetData>
    <row r="1" spans="1:10" ht="15" customHeight="1" x14ac:dyDescent="0.2">
      <c r="A1" s="3">
        <v>46052</v>
      </c>
    </row>
    <row r="2" spans="1:10" ht="15" customHeight="1" x14ac:dyDescent="0.2"/>
    <row r="3" spans="1:10" ht="15" customHeight="1" x14ac:dyDescent="0.2">
      <c r="B3" t="s">
        <v>61</v>
      </c>
      <c r="C3" t="s">
        <v>1</v>
      </c>
      <c r="D3" t="s">
        <v>3</v>
      </c>
      <c r="E3" t="s">
        <v>62</v>
      </c>
      <c r="F3" t="s">
        <v>4</v>
      </c>
      <c r="G3" t="s">
        <v>89</v>
      </c>
      <c r="H3" t="s">
        <v>63</v>
      </c>
      <c r="I3" t="s">
        <v>64</v>
      </c>
      <c r="J3" s="7" t="s">
        <v>88</v>
      </c>
    </row>
    <row r="4" spans="1:10" s="11" customFormat="1" x14ac:dyDescent="0.2">
      <c r="B4" s="11" t="s">
        <v>24</v>
      </c>
      <c r="C4" s="11" t="s">
        <v>65</v>
      </c>
      <c r="D4" s="12">
        <v>1815000</v>
      </c>
      <c r="E4" s="13">
        <v>102.07</v>
      </c>
      <c r="F4" s="13">
        <v>1852505.16</v>
      </c>
      <c r="G4" s="11">
        <v>3.27</v>
      </c>
      <c r="H4" s="14">
        <v>46341</v>
      </c>
      <c r="I4" s="11">
        <v>6.5</v>
      </c>
      <c r="J4" s="15">
        <f>YIELD($A$1,DATE(2026,11,15),I4/100,E4,100,2,1)</f>
        <v>3.8058223662533752E-2</v>
      </c>
    </row>
    <row r="5" spans="1:10" s="11" customFormat="1" x14ac:dyDescent="0.2">
      <c r="B5" s="11" t="s">
        <v>14</v>
      </c>
      <c r="C5" s="11" t="s">
        <v>66</v>
      </c>
      <c r="D5" s="12">
        <v>1095000</v>
      </c>
      <c r="E5" s="13">
        <v>104.21</v>
      </c>
      <c r="F5" s="13">
        <v>1141066.98</v>
      </c>
      <c r="G5" s="11">
        <v>2</v>
      </c>
      <c r="H5" s="14">
        <v>46706</v>
      </c>
      <c r="I5" s="11">
        <v>6.125</v>
      </c>
      <c r="J5" s="15">
        <f>YIELD($A$1,DATE(2027,11,15),I5/100,E5,100,2,1)</f>
        <v>3.6695771891499869E-2</v>
      </c>
    </row>
    <row r="6" spans="1:10" x14ac:dyDescent="0.2">
      <c r="B6" t="s">
        <v>26</v>
      </c>
      <c r="C6" t="s">
        <v>67</v>
      </c>
      <c r="D6" s="5">
        <v>4068000</v>
      </c>
      <c r="E6" s="1">
        <v>85.88</v>
      </c>
      <c r="F6" s="1">
        <v>3493553.65</v>
      </c>
      <c r="G6">
        <v>6.15</v>
      </c>
      <c r="H6" s="3">
        <v>52642</v>
      </c>
      <c r="I6">
        <v>3.625</v>
      </c>
      <c r="J6" s="8">
        <f>YIELD($A$1,DATE(2044,2,15),I6/100,E6,100,2,1)</f>
        <v>4.8037487360726688E-2</v>
      </c>
    </row>
    <row r="7" spans="1:10" x14ac:dyDescent="0.2">
      <c r="B7" t="s">
        <v>28</v>
      </c>
      <c r="C7" t="s">
        <v>68</v>
      </c>
      <c r="D7" s="5">
        <v>8660000</v>
      </c>
      <c r="E7" s="1">
        <v>90.48</v>
      </c>
      <c r="F7" s="1">
        <v>7835946.4400000004</v>
      </c>
      <c r="G7">
        <v>13.8</v>
      </c>
      <c r="H7" s="3">
        <v>56295</v>
      </c>
      <c r="I7">
        <v>4.25</v>
      </c>
      <c r="J7" s="8">
        <f>YIELD($A$1,DATE(2054,2,15),I7/100,E7,100,2,1)</f>
        <v>4.8763164100474835E-2</v>
      </c>
    </row>
    <row r="8" spans="1:10" x14ac:dyDescent="0.2">
      <c r="B8" t="s">
        <v>51</v>
      </c>
      <c r="C8" t="s">
        <v>69</v>
      </c>
      <c r="D8" s="5">
        <v>3391000</v>
      </c>
      <c r="E8" s="1">
        <v>96.34</v>
      </c>
      <c r="F8" s="1">
        <v>3266883.97</v>
      </c>
      <c r="G8">
        <v>5.75</v>
      </c>
      <c r="H8" s="3">
        <v>56384</v>
      </c>
      <c r="I8">
        <v>4.625</v>
      </c>
      <c r="J8" s="8">
        <f>YIELD($A$1,DATE(2044,5,15),I8/100,E8,100,2,1)</f>
        <v>4.9304417575509379E-2</v>
      </c>
    </row>
    <row r="9" spans="1:10" x14ac:dyDescent="0.2">
      <c r="B9" t="s">
        <v>30</v>
      </c>
      <c r="C9" t="s">
        <v>70</v>
      </c>
      <c r="D9" s="5">
        <v>12014000</v>
      </c>
      <c r="E9" s="1">
        <v>98.09</v>
      </c>
      <c r="F9" s="1">
        <v>11784983.119999999</v>
      </c>
      <c r="G9">
        <v>20.75</v>
      </c>
      <c r="H9" s="3">
        <v>52732</v>
      </c>
      <c r="I9">
        <v>4.625</v>
      </c>
      <c r="J9" s="8">
        <f>YIELD($A$1,DATE(2044,5,15),I9/100,E9,100,2,1)</f>
        <v>4.7822922677761351E-2</v>
      </c>
    </row>
    <row r="10" spans="1:10" x14ac:dyDescent="0.2">
      <c r="B10" t="s">
        <v>53</v>
      </c>
      <c r="C10" t="s">
        <v>71</v>
      </c>
      <c r="D10" s="5">
        <v>800000</v>
      </c>
      <c r="E10" s="1">
        <v>90.49</v>
      </c>
      <c r="F10" s="1">
        <v>723937.44</v>
      </c>
      <c r="G10">
        <v>1.28</v>
      </c>
      <c r="H10" s="3">
        <v>56476</v>
      </c>
      <c r="I10">
        <v>4.25</v>
      </c>
      <c r="J10" s="8">
        <f>YIELD($A$1,DATE(2054,8,15),I10/100,E10,100,2,1)</f>
        <v>4.8700680732052685E-2</v>
      </c>
    </row>
    <row r="11" spans="1:10" x14ac:dyDescent="0.2">
      <c r="B11" t="s">
        <v>32</v>
      </c>
      <c r="C11" t="s">
        <v>72</v>
      </c>
      <c r="D11" s="5">
        <v>2546000</v>
      </c>
      <c r="E11" s="1">
        <v>94.34</v>
      </c>
      <c r="F11" s="1">
        <v>2401892.33</v>
      </c>
      <c r="G11">
        <v>4.2300000000000004</v>
      </c>
      <c r="H11" s="3">
        <v>56568</v>
      </c>
      <c r="I11">
        <v>4.5</v>
      </c>
      <c r="J11" s="8">
        <f>YIELD($A$1,DATE(2054,11,15),I11/100,E11,100,2,1)</f>
        <v>4.8671009161031807E-2</v>
      </c>
    </row>
    <row r="12" spans="1:10" x14ac:dyDescent="0.2">
      <c r="B12" t="s">
        <v>34</v>
      </c>
      <c r="C12" t="s">
        <v>73</v>
      </c>
      <c r="D12" s="5">
        <v>1972000</v>
      </c>
      <c r="E12" s="1">
        <v>97.89</v>
      </c>
      <c r="F12" s="1">
        <v>1930403.03</v>
      </c>
      <c r="G12">
        <v>3.4</v>
      </c>
      <c r="H12" s="3">
        <v>52916</v>
      </c>
      <c r="I12">
        <v>4.625</v>
      </c>
      <c r="J12" s="8">
        <f>YIELD($A$1,DATE(2044,11,15),I12/100,E12,100,2,1)</f>
        <v>4.7961036036370863E-2</v>
      </c>
    </row>
    <row r="13" spans="1:10" x14ac:dyDescent="0.2">
      <c r="B13" t="s">
        <v>18</v>
      </c>
      <c r="C13" t="s">
        <v>74</v>
      </c>
      <c r="D13" s="5">
        <v>350000</v>
      </c>
      <c r="E13" s="1">
        <v>99.4</v>
      </c>
      <c r="F13" s="1">
        <v>347908.19</v>
      </c>
      <c r="G13">
        <v>0.61</v>
      </c>
      <c r="H13" s="3">
        <v>53008</v>
      </c>
      <c r="I13">
        <v>4.75</v>
      </c>
      <c r="J13" s="8">
        <f>YIELD($A$1,DATE(2045,2,15),I13/100,E13,100,2,1)</f>
        <v>4.7982344828533703E-2</v>
      </c>
    </row>
    <row r="14" spans="1:10" s="11" customFormat="1" x14ac:dyDescent="0.2">
      <c r="B14" s="11" t="s">
        <v>36</v>
      </c>
      <c r="C14" s="11" t="s">
        <v>75</v>
      </c>
      <c r="D14" s="12">
        <v>164000</v>
      </c>
      <c r="E14" s="13">
        <v>100.89</v>
      </c>
      <c r="F14" s="13">
        <v>165467.03</v>
      </c>
      <c r="G14" s="11">
        <v>0.28999999999999998</v>
      </c>
      <c r="H14" s="14">
        <v>46660</v>
      </c>
      <c r="I14" s="11">
        <v>4.125</v>
      </c>
      <c r="J14" s="15">
        <f>YIELD($A$1,DATE(2027,9,30),I14/100,E14,100,2,1)</f>
        <v>3.5671133579411145E-2</v>
      </c>
    </row>
    <row r="15" spans="1:10" x14ac:dyDescent="0.2">
      <c r="B15" t="s">
        <v>38</v>
      </c>
      <c r="C15" t="s">
        <v>76</v>
      </c>
      <c r="D15" s="5">
        <v>1882000</v>
      </c>
      <c r="E15" s="1">
        <v>102.75</v>
      </c>
      <c r="F15" s="1">
        <v>1933828.4</v>
      </c>
      <c r="G15">
        <v>3.4</v>
      </c>
      <c r="H15" s="3">
        <v>48898</v>
      </c>
      <c r="I15">
        <v>4.5</v>
      </c>
      <c r="J15" s="8">
        <f>YIELD($A$1,DATE(2033,11,15),I15/100,E15,100,2,1)</f>
        <v>4.0834677363100973E-2</v>
      </c>
    </row>
    <row r="16" spans="1:10" x14ac:dyDescent="0.2">
      <c r="B16" t="s">
        <v>40</v>
      </c>
      <c r="C16" t="s">
        <v>77</v>
      </c>
      <c r="D16" s="5">
        <v>350000</v>
      </c>
      <c r="E16" s="1">
        <v>99.69</v>
      </c>
      <c r="F16" s="1">
        <v>348906.25</v>
      </c>
      <c r="G16">
        <v>0.62</v>
      </c>
      <c r="H16" s="3">
        <v>47848</v>
      </c>
      <c r="I16">
        <v>3.75</v>
      </c>
      <c r="J16" s="8">
        <f>YIELD($A$1,DATE(2030,12,31),I16/100,E16,100,2,1)</f>
        <v>3.8191976364139388E-2</v>
      </c>
    </row>
    <row r="17" spans="2:10" x14ac:dyDescent="0.2">
      <c r="B17" t="s">
        <v>42</v>
      </c>
      <c r="C17" t="s">
        <v>78</v>
      </c>
      <c r="D17" s="5">
        <v>1615000</v>
      </c>
      <c r="E17" s="1">
        <v>99.25</v>
      </c>
      <c r="F17" s="1">
        <v>1602887.5</v>
      </c>
      <c r="G17">
        <v>2.82</v>
      </c>
      <c r="H17" s="3">
        <v>48990</v>
      </c>
      <c r="I17">
        <v>4</v>
      </c>
      <c r="J17" s="8">
        <f>YIELD($A$1,DATE(2034,2,15),I17/100,E17,100,2,1)</f>
        <v>4.1102120717594844E-2</v>
      </c>
    </row>
    <row r="18" spans="2:10" x14ac:dyDescent="0.2">
      <c r="B18" t="s">
        <v>59</v>
      </c>
      <c r="C18" t="s">
        <v>79</v>
      </c>
      <c r="D18" s="5">
        <v>477000</v>
      </c>
      <c r="E18" s="1">
        <v>101.72</v>
      </c>
      <c r="F18" s="1">
        <v>485217.04</v>
      </c>
      <c r="G18">
        <v>0.85</v>
      </c>
      <c r="H18" s="3">
        <v>49079</v>
      </c>
      <c r="I18">
        <v>4.375</v>
      </c>
      <c r="J18" s="8">
        <f>YIELD($A$1,DATE(2034,5,15),I18/100,E18,100,2,1)</f>
        <v>4.127115006573661E-2</v>
      </c>
    </row>
    <row r="19" spans="2:10" s="11" customFormat="1" x14ac:dyDescent="0.2">
      <c r="B19" s="11" t="s">
        <v>16</v>
      </c>
      <c r="C19" s="11" t="s">
        <v>80</v>
      </c>
      <c r="D19" s="12">
        <v>2725000</v>
      </c>
      <c r="E19" s="13">
        <v>100.34</v>
      </c>
      <c r="F19" s="13">
        <v>2734260.64</v>
      </c>
      <c r="G19" s="11">
        <v>4.8099999999999996</v>
      </c>
      <c r="H19" s="14">
        <v>46326</v>
      </c>
      <c r="I19" s="11">
        <v>4.125</v>
      </c>
      <c r="J19" s="15">
        <f>YIELD($A$1,DATE(2026,10,31),I19/100,E19,100,2,1)</f>
        <v>3.6540762882750273E-2</v>
      </c>
    </row>
    <row r="20" spans="2:10" x14ac:dyDescent="0.2">
      <c r="B20" t="s">
        <v>20</v>
      </c>
      <c r="C20" t="s">
        <v>81</v>
      </c>
      <c r="D20" s="5">
        <v>709000</v>
      </c>
      <c r="E20" s="1">
        <v>100.59</v>
      </c>
      <c r="F20" s="1">
        <v>713209.69</v>
      </c>
      <c r="G20">
        <v>1.25</v>
      </c>
      <c r="H20" s="3">
        <v>49263</v>
      </c>
      <c r="I20">
        <v>4.25</v>
      </c>
      <c r="J20" s="8">
        <f>YIELD($A$1,DATE(2034,11,15),I20/100,E20,100,2,1)</f>
        <v>4.1684119911316132E-2</v>
      </c>
    </row>
    <row r="21" spans="2:10" s="11" customFormat="1" x14ac:dyDescent="0.2">
      <c r="B21" s="11" t="s">
        <v>44</v>
      </c>
      <c r="C21" s="11" t="s">
        <v>82</v>
      </c>
      <c r="D21" s="12">
        <v>850000</v>
      </c>
      <c r="E21" s="13">
        <v>100.51</v>
      </c>
      <c r="F21" s="13">
        <v>854349.54</v>
      </c>
      <c r="G21" s="11">
        <v>1.5</v>
      </c>
      <c r="H21" s="14">
        <v>46356</v>
      </c>
      <c r="I21" s="11">
        <v>4.25</v>
      </c>
      <c r="J21" s="15">
        <f>YIELD($A$1,DATE(2026,11,30),I21/100,E21,100,2,1)</f>
        <v>3.6173165170917565E-2</v>
      </c>
    </row>
    <row r="22" spans="2:10" x14ac:dyDescent="0.2">
      <c r="B22" t="s">
        <v>55</v>
      </c>
      <c r="C22" t="s">
        <v>83</v>
      </c>
      <c r="D22" s="5">
        <v>700000</v>
      </c>
      <c r="E22" s="1">
        <v>103.31</v>
      </c>
      <c r="F22" s="1">
        <v>723187.5</v>
      </c>
      <c r="G22">
        <v>1.27</v>
      </c>
      <c r="H22" s="3">
        <v>49355</v>
      </c>
      <c r="I22">
        <v>4.625</v>
      </c>
      <c r="J22" s="8">
        <f>YIELD($A$1,DATE(2035,2,15),I22/100,E22,100,2,1)</f>
        <v>4.1814135382905911E-2</v>
      </c>
    </row>
    <row r="23" spans="2:10" x14ac:dyDescent="0.2">
      <c r="B23" t="s">
        <v>46</v>
      </c>
      <c r="C23" t="s">
        <v>84</v>
      </c>
      <c r="D23" s="5">
        <v>7161000</v>
      </c>
      <c r="E23" s="1">
        <v>100.38</v>
      </c>
      <c r="F23" s="1">
        <v>7187853.75</v>
      </c>
      <c r="G23">
        <v>12.65</v>
      </c>
      <c r="H23" s="3">
        <v>49444</v>
      </c>
      <c r="I23">
        <v>4.25</v>
      </c>
      <c r="J23" s="8">
        <f>YIELD($A$1,DATE(2035,5,15),I23/100,E23,100,2,1)</f>
        <v>4.1994722009141394E-2</v>
      </c>
    </row>
    <row r="24" spans="2:10" s="11" customFormat="1" x14ac:dyDescent="0.2">
      <c r="B24" s="11" t="s">
        <v>22</v>
      </c>
      <c r="C24" s="11" t="s">
        <v>85</v>
      </c>
      <c r="D24" s="12">
        <v>4891000</v>
      </c>
      <c r="E24" s="13">
        <v>100.09</v>
      </c>
      <c r="F24" s="13">
        <v>4895585.32</v>
      </c>
      <c r="G24" s="11">
        <v>8.6300000000000008</v>
      </c>
      <c r="H24" s="14">
        <v>46630</v>
      </c>
      <c r="I24" s="11">
        <v>3.625</v>
      </c>
      <c r="J24" s="15">
        <f>YIELD($A$1,DATE(2027,8,31),I24/100,E24,100,2,1)</f>
        <v>3.564500012549271E-2</v>
      </c>
    </row>
    <row r="25" spans="2:10" x14ac:dyDescent="0.2">
      <c r="B25" t="s">
        <v>57</v>
      </c>
      <c r="C25" t="s">
        <v>86</v>
      </c>
      <c r="D25" s="5">
        <v>67000</v>
      </c>
      <c r="E25" s="1">
        <v>99.28</v>
      </c>
      <c r="F25" s="1">
        <v>66518.44</v>
      </c>
      <c r="G25">
        <v>0.12</v>
      </c>
      <c r="H25" s="3">
        <v>47756</v>
      </c>
      <c r="I25">
        <v>3.625</v>
      </c>
      <c r="J25" s="8">
        <f>YIELD($A$1,DATE(2030,9,30),I25/100,E25,100,2,1)</f>
        <v>3.7939740404408333E-2</v>
      </c>
    </row>
    <row r="26" spans="2:10" s="11" customFormat="1" x14ac:dyDescent="0.2">
      <c r="B26" s="11" t="s">
        <v>48</v>
      </c>
      <c r="C26" s="11" t="s">
        <v>87</v>
      </c>
      <c r="D26" s="12">
        <v>137000</v>
      </c>
      <c r="E26" s="13">
        <v>99.9</v>
      </c>
      <c r="F26" s="13">
        <v>136866.21</v>
      </c>
      <c r="G26" s="11">
        <v>0.24</v>
      </c>
      <c r="H26" s="14">
        <v>46660</v>
      </c>
      <c r="I26" s="11">
        <v>3.5</v>
      </c>
      <c r="J26" s="15">
        <f>YIELD($A$1,DATE(2027,9,30),I26/100,E26,100,2,1)</f>
        <v>3.5602656163094923E-2</v>
      </c>
    </row>
    <row r="27" spans="2:10" x14ac:dyDescent="0.2">
      <c r="D27" s="5">
        <f>+SUM(D4:D26)</f>
        <v>58439000</v>
      </c>
      <c r="F27" s="1">
        <f>+SUM(F4:F26)</f>
        <v>56627217.619999997</v>
      </c>
      <c r="H27" s="3">
        <f>+AVERAGE(H4:H26)</f>
        <v>50144.913043478264</v>
      </c>
      <c r="I27" s="10">
        <f>+AVERAGE(I4:I26)</f>
        <v>4.3858695652173916</v>
      </c>
      <c r="J27" s="8">
        <f>+AVERAGE(J4:J26)</f>
        <v>4.2020105137674131E-2</v>
      </c>
    </row>
    <row r="28" spans="2:10" x14ac:dyDescent="0.2">
      <c r="E28" s="9">
        <f>+D27-F27</f>
        <v>1811782.3800000027</v>
      </c>
    </row>
    <row r="29" spans="2:10" x14ac:dyDescent="0.2">
      <c r="E29" s="9">
        <f>+E28-E30</f>
        <v>1197952.3900000006</v>
      </c>
    </row>
    <row r="30" spans="2:10" x14ac:dyDescent="0.2">
      <c r="E30" s="9">
        <f>+D27-F30</f>
        <v>613829.99000000209</v>
      </c>
      <c r="F30" s="1">
        <v>57825170.009999998</v>
      </c>
    </row>
    <row r="32" spans="2:10" x14ac:dyDescent="0.2">
      <c r="D32" s="5">
        <f>+D26+D24+D21+D19+D14+D4+D5</f>
        <v>11677000</v>
      </c>
      <c r="F32" s="9">
        <f>+F26+F24+F21+F19+F14+F5+F4</f>
        <v>11780100.880000001</v>
      </c>
    </row>
    <row r="33" spans="5:5" x14ac:dyDescent="0.2">
      <c r="E33" s="5">
        <f>+F32-D32</f>
        <v>103100.88000000082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399BE-5A6B-4D1E-AD98-AE9453B67AFD}">
  <dimension ref="B2:O4"/>
  <sheetViews>
    <sheetView workbookViewId="0">
      <selection activeCell="C13" sqref="C13"/>
    </sheetView>
  </sheetViews>
  <sheetFormatPr baseColWidth="10" defaultColWidth="8.83203125" defaultRowHeight="15" x14ac:dyDescent="0.2"/>
  <cols>
    <col min="3" max="3" width="43.33203125" bestFit="1" customWidth="1"/>
    <col min="6" max="7" width="13.1640625" bestFit="1" customWidth="1"/>
    <col min="9" max="9" width="19.6640625" bestFit="1" customWidth="1"/>
    <col min="13" max="13" width="14.6640625" bestFit="1" customWidth="1"/>
    <col min="14" max="14" width="20" bestFit="1" customWidth="1"/>
  </cols>
  <sheetData>
    <row r="2" spans="2:15" x14ac:dyDescent="0.2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</row>
    <row r="3" spans="2:15" x14ac:dyDescent="0.2">
      <c r="B3" t="s">
        <v>14</v>
      </c>
      <c r="C3" t="s">
        <v>15</v>
      </c>
      <c r="D3" t="s">
        <v>50</v>
      </c>
      <c r="E3">
        <v>1000000</v>
      </c>
      <c r="F3" s="1">
        <v>1042070.31</v>
      </c>
      <c r="G3" s="1">
        <v>1049843.75</v>
      </c>
      <c r="H3" s="1">
        <v>104.98</v>
      </c>
      <c r="I3" s="1">
        <v>-7773.44</v>
      </c>
      <c r="J3" s="2">
        <v>-7.4000000000000003E-3</v>
      </c>
      <c r="M3" s="1">
        <v>1049843.75</v>
      </c>
      <c r="N3" s="1">
        <v>-7773.44</v>
      </c>
      <c r="O3" s="2">
        <v>-7.4000000000000003E-3</v>
      </c>
    </row>
    <row r="4" spans="2:15" x14ac:dyDescent="0.2">
      <c r="B4" t="s">
        <v>16</v>
      </c>
      <c r="C4" t="s">
        <v>17</v>
      </c>
      <c r="D4" t="s">
        <v>50</v>
      </c>
      <c r="E4">
        <v>400000</v>
      </c>
      <c r="F4" s="1">
        <v>401359.38</v>
      </c>
      <c r="G4" s="1">
        <v>401624</v>
      </c>
      <c r="H4" s="1">
        <v>100.41</v>
      </c>
      <c r="I4" s="1">
        <v>-264.62</v>
      </c>
      <c r="J4" s="2">
        <v>-6.9999999999999999E-4</v>
      </c>
      <c r="M4" s="1">
        <v>401624</v>
      </c>
      <c r="N4" s="1">
        <v>-264.62</v>
      </c>
      <c r="O4" s="2">
        <v>-6.9999999999999999E-4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C9B18-4DB5-4E29-A707-1C5FFB8AD270}">
  <dimension ref="B2:O5"/>
  <sheetViews>
    <sheetView workbookViewId="0">
      <selection activeCell="D9" sqref="D9"/>
    </sheetView>
  </sheetViews>
  <sheetFormatPr baseColWidth="10" defaultColWidth="8.83203125" defaultRowHeight="15" x14ac:dyDescent="0.2"/>
  <cols>
    <col min="3" max="3" width="43.1640625" bestFit="1" customWidth="1"/>
    <col min="9" max="9" width="19.6640625" bestFit="1" customWidth="1"/>
    <col min="13" max="13" width="14.6640625" bestFit="1" customWidth="1"/>
    <col min="14" max="14" width="20" bestFit="1" customWidth="1"/>
  </cols>
  <sheetData>
    <row r="2" spans="2:15" x14ac:dyDescent="0.2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</row>
    <row r="3" spans="2:15" x14ac:dyDescent="0.2">
      <c r="B3" t="s">
        <v>18</v>
      </c>
      <c r="C3" t="s">
        <v>19</v>
      </c>
      <c r="D3" t="s">
        <v>50</v>
      </c>
      <c r="E3">
        <v>350000</v>
      </c>
      <c r="F3" s="1">
        <v>347908.2</v>
      </c>
      <c r="G3" s="1">
        <v>345356.1</v>
      </c>
      <c r="H3" s="1">
        <v>98.67</v>
      </c>
      <c r="I3" s="1">
        <v>2552.1</v>
      </c>
      <c r="J3" s="2">
        <v>7.4000000000000003E-3</v>
      </c>
      <c r="M3" s="1">
        <v>345356.1</v>
      </c>
      <c r="N3" s="1">
        <v>2552.1</v>
      </c>
      <c r="O3" s="2">
        <v>7.4000000000000003E-3</v>
      </c>
    </row>
    <row r="4" spans="2:15" x14ac:dyDescent="0.2">
      <c r="B4" t="s">
        <v>20</v>
      </c>
      <c r="C4" t="s">
        <v>21</v>
      </c>
      <c r="D4" t="s">
        <v>50</v>
      </c>
      <c r="E4">
        <v>300000</v>
      </c>
      <c r="F4" s="1">
        <v>301781.25</v>
      </c>
      <c r="G4" s="1">
        <v>300722.08</v>
      </c>
      <c r="H4" s="1">
        <v>100.25</v>
      </c>
      <c r="I4" s="1">
        <v>1059.17</v>
      </c>
      <c r="J4" s="2">
        <v>3.5000000000000001E-3</v>
      </c>
      <c r="M4" s="1">
        <v>300755</v>
      </c>
      <c r="N4" s="1">
        <v>1026.25</v>
      </c>
      <c r="O4" s="2">
        <v>3.3999999999999998E-3</v>
      </c>
    </row>
    <row r="5" spans="2:15" x14ac:dyDescent="0.2">
      <c r="B5" t="s">
        <v>22</v>
      </c>
      <c r="C5" t="s">
        <v>23</v>
      </c>
      <c r="D5" t="s">
        <v>50</v>
      </c>
      <c r="E5">
        <v>270000</v>
      </c>
      <c r="F5" s="1">
        <v>270253.13</v>
      </c>
      <c r="G5" s="1">
        <v>271122.96999999997</v>
      </c>
      <c r="H5" s="1">
        <v>100.42</v>
      </c>
      <c r="I5" s="1">
        <v>-869.84</v>
      </c>
      <c r="J5" s="2">
        <v>-3.2000000000000002E-3</v>
      </c>
      <c r="M5" s="1">
        <v>271122.96999999997</v>
      </c>
      <c r="N5" s="1">
        <v>-869.84</v>
      </c>
      <c r="O5" s="2">
        <v>-3.2000000000000002E-3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01925-6D65-4F99-AFE6-3250FD762935}">
  <dimension ref="B2:O14"/>
  <sheetViews>
    <sheetView workbookViewId="0">
      <selection activeCell="J23" sqref="J23"/>
    </sheetView>
  </sheetViews>
  <sheetFormatPr baseColWidth="10" defaultColWidth="8.83203125" defaultRowHeight="15" x14ac:dyDescent="0.2"/>
  <cols>
    <col min="3" max="3" width="43.33203125" bestFit="1" customWidth="1"/>
    <col min="9" max="9" width="19.6640625" bestFit="1" customWidth="1"/>
    <col min="13" max="13" width="14.6640625" bestFit="1" customWidth="1"/>
    <col min="14" max="14" width="20" bestFit="1" customWidth="1"/>
  </cols>
  <sheetData>
    <row r="2" spans="2:15" x14ac:dyDescent="0.2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</row>
    <row r="3" spans="2:15" x14ac:dyDescent="0.2">
      <c r="B3" t="s">
        <v>24</v>
      </c>
      <c r="C3" t="s">
        <v>25</v>
      </c>
      <c r="D3" t="s">
        <v>50</v>
      </c>
      <c r="E3">
        <v>400000</v>
      </c>
      <c r="F3" s="1">
        <v>408265.62</v>
      </c>
      <c r="G3" s="1">
        <v>412234.38</v>
      </c>
      <c r="H3" s="1">
        <v>103.0586</v>
      </c>
      <c r="I3" s="1">
        <v>-3968.76</v>
      </c>
      <c r="J3" s="2">
        <v>-9.5999999999999992E-3</v>
      </c>
      <c r="M3" s="1">
        <v>412234.38</v>
      </c>
      <c r="N3" s="1">
        <v>-3968.76</v>
      </c>
      <c r="O3" s="2">
        <v>-9.5999999999999992E-3</v>
      </c>
    </row>
    <row r="4" spans="2:15" x14ac:dyDescent="0.2">
      <c r="B4" t="s">
        <v>28</v>
      </c>
      <c r="C4" t="s">
        <v>29</v>
      </c>
      <c r="D4" t="s">
        <v>50</v>
      </c>
      <c r="E4">
        <v>460000</v>
      </c>
      <c r="F4" s="1">
        <v>416228.13</v>
      </c>
      <c r="G4" s="1">
        <v>435684.69</v>
      </c>
      <c r="H4" s="1">
        <v>94.714100000000002</v>
      </c>
      <c r="I4" s="1">
        <v>-19456.560000000001</v>
      </c>
      <c r="J4" s="2">
        <v>-4.4699999999999997E-2</v>
      </c>
      <c r="M4" s="1">
        <v>435684.69</v>
      </c>
      <c r="N4" s="1">
        <v>-19456.560000000001</v>
      </c>
      <c r="O4" s="2">
        <v>-4.4699999999999997E-2</v>
      </c>
    </row>
    <row r="5" spans="2:15" x14ac:dyDescent="0.2">
      <c r="B5" t="s">
        <v>51</v>
      </c>
      <c r="C5" t="s">
        <v>52</v>
      </c>
      <c r="D5" t="s">
        <v>50</v>
      </c>
      <c r="E5">
        <v>1580000</v>
      </c>
      <c r="F5" s="1">
        <v>1522169.54</v>
      </c>
      <c r="G5" s="1">
        <v>1615174.9</v>
      </c>
      <c r="H5" s="1">
        <v>102.2701</v>
      </c>
      <c r="I5" s="1">
        <v>-93005.36</v>
      </c>
      <c r="J5" s="2">
        <v>-5.7599999999999998E-2</v>
      </c>
      <c r="M5" s="1">
        <v>1615868.35</v>
      </c>
      <c r="N5" s="1">
        <v>-93698.81</v>
      </c>
      <c r="O5" s="2">
        <v>-5.8000000000000003E-2</v>
      </c>
    </row>
    <row r="6" spans="2:15" x14ac:dyDescent="0.2">
      <c r="B6" t="s">
        <v>30</v>
      </c>
      <c r="C6" t="s">
        <v>31</v>
      </c>
      <c r="D6" t="s">
        <v>50</v>
      </c>
      <c r="E6">
        <v>2783000</v>
      </c>
      <c r="F6" s="1">
        <v>2729949.06</v>
      </c>
      <c r="G6" s="1">
        <v>2784774.82</v>
      </c>
      <c r="H6" s="1">
        <v>100.0842</v>
      </c>
      <c r="I6" s="1">
        <v>-54825.760000000002</v>
      </c>
      <c r="J6" s="2">
        <v>-1.9699999999999999E-2</v>
      </c>
      <c r="M6" s="1">
        <v>2785343.12</v>
      </c>
      <c r="N6" s="1">
        <v>-55394.06</v>
      </c>
      <c r="O6" s="2">
        <v>-1.9900000000000001E-2</v>
      </c>
    </row>
    <row r="7" spans="2:15" x14ac:dyDescent="0.2">
      <c r="B7" t="s">
        <v>53</v>
      </c>
      <c r="C7" t="s">
        <v>54</v>
      </c>
      <c r="D7" t="s">
        <v>50</v>
      </c>
      <c r="E7">
        <v>200000</v>
      </c>
      <c r="F7" s="1">
        <v>180984.37</v>
      </c>
      <c r="G7" s="1">
        <v>193660</v>
      </c>
      <c r="H7" s="1">
        <v>96.83</v>
      </c>
      <c r="I7" s="1">
        <v>-12675.63</v>
      </c>
      <c r="J7" s="2">
        <v>-6.5500000000000003E-2</v>
      </c>
      <c r="M7" s="1">
        <v>193660</v>
      </c>
      <c r="N7" s="1">
        <v>-12675.63</v>
      </c>
      <c r="O7" s="2">
        <v>-6.5500000000000003E-2</v>
      </c>
    </row>
    <row r="8" spans="2:15" x14ac:dyDescent="0.2">
      <c r="B8" t="s">
        <v>40</v>
      </c>
      <c r="C8" t="s">
        <v>41</v>
      </c>
      <c r="D8" t="s">
        <v>50</v>
      </c>
      <c r="E8">
        <v>100000</v>
      </c>
      <c r="F8" s="1">
        <v>99687.5</v>
      </c>
      <c r="G8" s="1">
        <v>100614.91</v>
      </c>
      <c r="H8" s="1">
        <v>100.6328</v>
      </c>
      <c r="I8" s="1">
        <v>-927.41</v>
      </c>
      <c r="J8" s="2">
        <v>-9.1999999999999998E-3</v>
      </c>
      <c r="M8" s="1">
        <v>100632.81</v>
      </c>
      <c r="N8" s="1">
        <v>-945.31</v>
      </c>
      <c r="O8" s="2">
        <v>-9.4000000000000004E-3</v>
      </c>
    </row>
    <row r="9" spans="2:15" x14ac:dyDescent="0.2">
      <c r="B9" t="s">
        <v>42</v>
      </c>
      <c r="C9" t="s">
        <v>43</v>
      </c>
      <c r="D9" t="s">
        <v>50</v>
      </c>
      <c r="E9">
        <v>710000</v>
      </c>
      <c r="F9" s="1">
        <v>704675</v>
      </c>
      <c r="G9" s="1">
        <v>726260.95</v>
      </c>
      <c r="H9" s="1">
        <v>102.4975</v>
      </c>
      <c r="I9" s="1">
        <v>-21585.95</v>
      </c>
      <c r="J9" s="2">
        <v>-2.9700000000000001E-2</v>
      </c>
      <c r="M9" s="1">
        <v>727732.45</v>
      </c>
      <c r="N9" s="1">
        <v>-23057.45</v>
      </c>
      <c r="O9" s="2">
        <v>-3.1699999999999999E-2</v>
      </c>
    </row>
    <row r="10" spans="2:15" x14ac:dyDescent="0.2">
      <c r="B10" t="s">
        <v>16</v>
      </c>
      <c r="C10" t="s">
        <v>17</v>
      </c>
      <c r="D10" t="s">
        <v>50</v>
      </c>
      <c r="E10">
        <v>850000</v>
      </c>
      <c r="F10" s="1">
        <v>852888.67</v>
      </c>
      <c r="G10" s="1">
        <v>853638</v>
      </c>
      <c r="H10" s="1">
        <v>100.428</v>
      </c>
      <c r="I10" s="1">
        <v>-749.33</v>
      </c>
      <c r="J10" s="2">
        <v>-8.9999999999999998E-4</v>
      </c>
      <c r="M10" s="1">
        <v>853638</v>
      </c>
      <c r="N10" s="1">
        <v>-749.33</v>
      </c>
      <c r="O10" s="2">
        <v>-8.9999999999999998E-4</v>
      </c>
    </row>
    <row r="11" spans="2:15" x14ac:dyDescent="0.2">
      <c r="B11" t="s">
        <v>55</v>
      </c>
      <c r="C11" t="s">
        <v>56</v>
      </c>
      <c r="D11" t="s">
        <v>50</v>
      </c>
      <c r="E11">
        <v>700000</v>
      </c>
      <c r="F11" s="1">
        <v>723187.5</v>
      </c>
      <c r="G11" s="1">
        <v>713795.4</v>
      </c>
      <c r="H11" s="1">
        <v>102.0132</v>
      </c>
      <c r="I11" s="1">
        <v>9392.1</v>
      </c>
      <c r="J11" s="2">
        <v>1.32E-2</v>
      </c>
      <c r="M11" s="1">
        <v>714092.5</v>
      </c>
      <c r="N11" s="1">
        <v>9095</v>
      </c>
      <c r="O11" s="2">
        <v>1.2699999999999999E-2</v>
      </c>
    </row>
    <row r="12" spans="2:15" x14ac:dyDescent="0.2">
      <c r="B12" t="s">
        <v>46</v>
      </c>
      <c r="C12" t="s">
        <v>47</v>
      </c>
      <c r="D12" t="s">
        <v>50</v>
      </c>
      <c r="E12">
        <v>5576000</v>
      </c>
      <c r="F12" s="1">
        <v>5596910</v>
      </c>
      <c r="G12" s="1">
        <v>5473214.0700000003</v>
      </c>
      <c r="H12" s="1">
        <v>98.156599999999997</v>
      </c>
      <c r="I12" s="1">
        <v>123695.93</v>
      </c>
      <c r="J12" s="2">
        <v>2.2599999999999999E-2</v>
      </c>
      <c r="M12" s="1">
        <v>5473214.0700000003</v>
      </c>
      <c r="N12" s="1">
        <v>123695.93</v>
      </c>
      <c r="O12" s="2">
        <v>2.2599999999999999E-2</v>
      </c>
    </row>
    <row r="13" spans="2:15" x14ac:dyDescent="0.2">
      <c r="B13" t="s">
        <v>22</v>
      </c>
      <c r="C13" t="s">
        <v>23</v>
      </c>
      <c r="D13" t="s">
        <v>50</v>
      </c>
      <c r="E13">
        <v>557000</v>
      </c>
      <c r="F13" s="1">
        <v>557522.18999999994</v>
      </c>
      <c r="G13" s="1">
        <v>558520.84</v>
      </c>
      <c r="H13" s="1">
        <v>100.273</v>
      </c>
      <c r="I13" s="1">
        <v>-998.65</v>
      </c>
      <c r="J13" s="2">
        <v>-1.8E-3</v>
      </c>
      <c r="M13" s="1">
        <v>558520.84</v>
      </c>
      <c r="N13" s="1">
        <v>-998.65</v>
      </c>
      <c r="O13" s="2">
        <v>-1.8E-3</v>
      </c>
    </row>
    <row r="14" spans="2:15" x14ac:dyDescent="0.2">
      <c r="B14" t="s">
        <v>57</v>
      </c>
      <c r="C14" t="s">
        <v>58</v>
      </c>
      <c r="D14" t="s">
        <v>50</v>
      </c>
      <c r="E14">
        <v>35000</v>
      </c>
      <c r="F14" s="1">
        <v>34748.44</v>
      </c>
      <c r="G14" s="1">
        <v>35139.440000000002</v>
      </c>
      <c r="H14" s="1">
        <v>100.3984</v>
      </c>
      <c r="I14" s="1">
        <v>-391</v>
      </c>
      <c r="J14" s="2">
        <v>-1.11E-2</v>
      </c>
      <c r="M14" s="1">
        <v>35139.440000000002</v>
      </c>
      <c r="N14" s="1">
        <v>-391</v>
      </c>
      <c r="O14" s="2">
        <v>-1.11E-2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CD65B-404C-4B03-BE76-11945759C3DE}">
  <dimension ref="B2:O13"/>
  <sheetViews>
    <sheetView workbookViewId="0">
      <selection activeCell="M6" sqref="M6"/>
    </sheetView>
  </sheetViews>
  <sheetFormatPr baseColWidth="10" defaultColWidth="8.83203125" defaultRowHeight="15" x14ac:dyDescent="0.2"/>
  <cols>
    <col min="3" max="3" width="44.83203125" customWidth="1"/>
    <col min="6" max="7" width="13.5" bestFit="1" customWidth="1"/>
    <col min="9" max="9" width="24" bestFit="1" customWidth="1"/>
    <col min="13" max="13" width="18" bestFit="1" customWidth="1"/>
    <col min="14" max="14" width="24.1640625" bestFit="1" customWidth="1"/>
  </cols>
  <sheetData>
    <row r="2" spans="2:15" x14ac:dyDescent="0.2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</row>
    <row r="3" spans="2:15" x14ac:dyDescent="0.2">
      <c r="B3" t="s">
        <v>24</v>
      </c>
      <c r="C3" t="s">
        <v>25</v>
      </c>
      <c r="D3" t="s">
        <v>50</v>
      </c>
      <c r="E3">
        <v>615000</v>
      </c>
      <c r="F3" s="1">
        <v>627708.4</v>
      </c>
      <c r="G3" s="1">
        <v>633858.4</v>
      </c>
      <c r="H3" s="1">
        <v>103.0664</v>
      </c>
      <c r="I3" s="1">
        <v>-6150</v>
      </c>
      <c r="J3" s="2">
        <v>-9.7000000000000003E-3</v>
      </c>
      <c r="M3" s="1">
        <v>633858.4</v>
      </c>
      <c r="N3" s="1">
        <v>-6150</v>
      </c>
      <c r="O3" s="2">
        <v>-9.7000000000000003E-3</v>
      </c>
    </row>
    <row r="4" spans="2:15" x14ac:dyDescent="0.2">
      <c r="B4" t="s">
        <v>28</v>
      </c>
      <c r="C4" t="s">
        <v>29</v>
      </c>
      <c r="D4" t="s">
        <v>50</v>
      </c>
      <c r="E4">
        <v>675000</v>
      </c>
      <c r="F4" s="1">
        <v>610769.53</v>
      </c>
      <c r="G4" s="1">
        <v>646904.53</v>
      </c>
      <c r="H4" s="1">
        <v>95.837699999999998</v>
      </c>
      <c r="I4" s="1">
        <v>-36135</v>
      </c>
      <c r="J4" s="2">
        <v>-5.5899999999999998E-2</v>
      </c>
      <c r="M4" s="1">
        <v>646904.53</v>
      </c>
      <c r="N4" s="1">
        <v>-36135</v>
      </c>
      <c r="O4" s="2">
        <v>-5.5899999999999998E-2</v>
      </c>
    </row>
    <row r="5" spans="2:15" x14ac:dyDescent="0.2">
      <c r="B5" t="s">
        <v>51</v>
      </c>
      <c r="C5" t="s">
        <v>52</v>
      </c>
      <c r="D5" t="s">
        <v>50</v>
      </c>
      <c r="E5">
        <v>1811000</v>
      </c>
      <c r="F5" s="1">
        <v>1744714.57</v>
      </c>
      <c r="G5" s="1">
        <v>1828102.3</v>
      </c>
      <c r="H5" s="1">
        <v>100.9663</v>
      </c>
      <c r="I5" s="1">
        <v>-83387.73</v>
      </c>
      <c r="J5" s="2">
        <v>-4.5600000000000002E-2</v>
      </c>
      <c r="M5" s="1">
        <v>1828499.78</v>
      </c>
      <c r="N5" s="1">
        <v>-83785.210000000006</v>
      </c>
      <c r="O5" s="2">
        <v>-4.58E-2</v>
      </c>
    </row>
    <row r="6" spans="2:15" x14ac:dyDescent="0.2">
      <c r="B6" t="s">
        <v>30</v>
      </c>
      <c r="C6" t="s">
        <v>31</v>
      </c>
      <c r="D6" t="s">
        <v>50</v>
      </c>
      <c r="E6">
        <v>4471000</v>
      </c>
      <c r="F6" s="1">
        <v>4385771.5599999996</v>
      </c>
      <c r="G6" s="1">
        <v>4433172.53</v>
      </c>
      <c r="H6" s="1">
        <v>99.16</v>
      </c>
      <c r="I6" s="1">
        <v>-47400.97</v>
      </c>
      <c r="J6" s="2">
        <v>-1.0699999999999999E-2</v>
      </c>
      <c r="M6" s="1">
        <v>4433444.4000000004</v>
      </c>
      <c r="N6" s="1">
        <v>-47672.84</v>
      </c>
      <c r="O6" s="2">
        <v>-1.0800000000000001E-2</v>
      </c>
    </row>
    <row r="7" spans="2:15" x14ac:dyDescent="0.2">
      <c r="B7" t="s">
        <v>53</v>
      </c>
      <c r="C7" t="s">
        <v>54</v>
      </c>
      <c r="D7" t="s">
        <v>50</v>
      </c>
      <c r="E7">
        <v>600000</v>
      </c>
      <c r="F7" s="1">
        <v>542953.12</v>
      </c>
      <c r="G7" s="1">
        <v>580960</v>
      </c>
      <c r="H7" s="1">
        <v>96.826700000000002</v>
      </c>
      <c r="I7" s="1">
        <v>-38006.879999999997</v>
      </c>
      <c r="J7" s="2">
        <v>-6.54E-2</v>
      </c>
      <c r="M7" s="1">
        <v>580960</v>
      </c>
      <c r="N7" s="1">
        <v>-38006.879999999997</v>
      </c>
      <c r="O7" s="2">
        <v>-6.54E-2</v>
      </c>
    </row>
    <row r="8" spans="2:15" x14ac:dyDescent="0.2">
      <c r="B8" t="s">
        <v>40</v>
      </c>
      <c r="C8" t="s">
        <v>41</v>
      </c>
      <c r="D8" t="s">
        <v>50</v>
      </c>
      <c r="E8">
        <v>100000</v>
      </c>
      <c r="F8" s="1">
        <v>99687.5</v>
      </c>
      <c r="G8" s="1">
        <v>100629.75</v>
      </c>
      <c r="H8" s="1">
        <v>100.6482</v>
      </c>
      <c r="I8" s="1">
        <v>-942.25</v>
      </c>
      <c r="J8" s="2">
        <v>-9.4000000000000004E-3</v>
      </c>
      <c r="M8" s="1">
        <v>100648.18</v>
      </c>
      <c r="N8" s="1">
        <v>-960.68</v>
      </c>
      <c r="O8" s="2">
        <v>-9.4999999999999998E-3</v>
      </c>
    </row>
    <row r="9" spans="2:15" x14ac:dyDescent="0.2">
      <c r="B9" t="s">
        <v>42</v>
      </c>
      <c r="C9" t="s">
        <v>43</v>
      </c>
      <c r="D9" t="s">
        <v>50</v>
      </c>
      <c r="E9">
        <v>100000</v>
      </c>
      <c r="F9" s="1">
        <v>99250</v>
      </c>
      <c r="G9" s="1">
        <v>100004.4</v>
      </c>
      <c r="H9" s="1">
        <v>100.005</v>
      </c>
      <c r="I9" s="1">
        <v>-754.4</v>
      </c>
      <c r="J9" s="2">
        <v>-7.4999999999999997E-3</v>
      </c>
      <c r="M9" s="1">
        <v>100005</v>
      </c>
      <c r="N9" s="1">
        <v>-755</v>
      </c>
      <c r="O9" s="2">
        <v>-7.4999999999999997E-3</v>
      </c>
    </row>
    <row r="10" spans="2:15" x14ac:dyDescent="0.2">
      <c r="B10" t="s">
        <v>59</v>
      </c>
      <c r="C10" t="s">
        <v>60</v>
      </c>
      <c r="D10" t="s">
        <v>50</v>
      </c>
      <c r="E10">
        <v>477000</v>
      </c>
      <c r="F10" s="1">
        <v>485217.07</v>
      </c>
      <c r="G10" s="1">
        <v>478695.61</v>
      </c>
      <c r="H10" s="1">
        <v>100.3939</v>
      </c>
      <c r="I10" s="1">
        <v>6521.46</v>
      </c>
      <c r="J10" s="2">
        <v>1.3599999999999999E-2</v>
      </c>
      <c r="M10" s="1">
        <v>478879.06</v>
      </c>
      <c r="N10" s="1">
        <v>6338.01</v>
      </c>
      <c r="O10" s="2">
        <v>1.32E-2</v>
      </c>
    </row>
    <row r="11" spans="2:15" x14ac:dyDescent="0.2">
      <c r="B11" t="s">
        <v>16</v>
      </c>
      <c r="C11" t="s">
        <v>17</v>
      </c>
      <c r="D11" t="s">
        <v>50</v>
      </c>
      <c r="E11">
        <v>625000</v>
      </c>
      <c r="F11" s="1">
        <v>627124.03</v>
      </c>
      <c r="G11" s="1">
        <v>627681.25</v>
      </c>
      <c r="H11" s="1">
        <v>100.429</v>
      </c>
      <c r="I11" s="1">
        <v>-557.22</v>
      </c>
      <c r="J11" s="2">
        <v>-8.9999999999999998E-4</v>
      </c>
      <c r="M11" s="1">
        <v>627681.25</v>
      </c>
      <c r="N11" s="1">
        <v>-557.22</v>
      </c>
      <c r="O11" s="2">
        <v>-8.9999999999999998E-4</v>
      </c>
    </row>
    <row r="12" spans="2:15" x14ac:dyDescent="0.2">
      <c r="B12" t="s">
        <v>22</v>
      </c>
      <c r="C12" t="s">
        <v>23</v>
      </c>
      <c r="D12" t="s">
        <v>50</v>
      </c>
      <c r="E12">
        <v>2392000</v>
      </c>
      <c r="F12" s="1">
        <v>2394242.5</v>
      </c>
      <c r="G12" s="1">
        <v>2395752.15</v>
      </c>
      <c r="H12" s="1">
        <v>100.15689999999999</v>
      </c>
      <c r="I12" s="1">
        <v>-1509.65</v>
      </c>
      <c r="J12" s="2">
        <v>-5.9999999999999995E-4</v>
      </c>
      <c r="M12" s="1">
        <v>2395752.15</v>
      </c>
      <c r="N12" s="1">
        <v>-1509.65</v>
      </c>
      <c r="O12" s="2">
        <v>-5.9999999999999995E-4</v>
      </c>
    </row>
    <row r="13" spans="2:15" x14ac:dyDescent="0.2">
      <c r="B13" t="s">
        <v>57</v>
      </c>
      <c r="C13" t="s">
        <v>58</v>
      </c>
      <c r="D13" t="s">
        <v>50</v>
      </c>
      <c r="E13">
        <v>32000</v>
      </c>
      <c r="F13" s="1">
        <v>31770</v>
      </c>
      <c r="G13" s="1">
        <v>32137.13</v>
      </c>
      <c r="H13" s="1">
        <v>100.4285</v>
      </c>
      <c r="I13" s="1">
        <v>-367.13</v>
      </c>
      <c r="J13" s="2">
        <v>-1.14E-2</v>
      </c>
      <c r="M13" s="1">
        <v>32137.13</v>
      </c>
      <c r="N13" s="1">
        <v>-367.13</v>
      </c>
      <c r="O13" s="2">
        <v>-1.14E-2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4E5C6-5F79-44C7-A3E2-8D35D4145DFE}">
  <dimension ref="B2:O70"/>
  <sheetViews>
    <sheetView workbookViewId="0">
      <selection activeCell="E30" sqref="E30"/>
    </sheetView>
  </sheetViews>
  <sheetFormatPr baseColWidth="10" defaultColWidth="8.83203125" defaultRowHeight="15" x14ac:dyDescent="0.2"/>
  <cols>
    <col min="2" max="2" width="10.6640625" bestFit="1" customWidth="1"/>
    <col min="3" max="3" width="47.5" bestFit="1" customWidth="1"/>
    <col min="4" max="4" width="16.5" bestFit="1" customWidth="1"/>
    <col min="5" max="5" width="13.33203125" style="4" bestFit="1" customWidth="1"/>
    <col min="6" max="7" width="13.5" bestFit="1" customWidth="1"/>
    <col min="9" max="9" width="24" bestFit="1" customWidth="1"/>
    <col min="13" max="13" width="18" bestFit="1" customWidth="1"/>
    <col min="14" max="14" width="24.1640625" bestFit="1" customWidth="1"/>
  </cols>
  <sheetData>
    <row r="2" spans="2:15" x14ac:dyDescent="0.2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</row>
    <row r="3" spans="2:15" x14ac:dyDescent="0.2">
      <c r="B3" t="s">
        <v>24</v>
      </c>
      <c r="C3" t="s">
        <v>25</v>
      </c>
      <c r="D3" t="s">
        <v>50</v>
      </c>
      <c r="E3">
        <v>800000</v>
      </c>
      <c r="F3" s="1">
        <v>816531.25</v>
      </c>
      <c r="G3" s="1">
        <v>824493.63</v>
      </c>
      <c r="H3" s="1">
        <v>103.0617</v>
      </c>
      <c r="I3" s="1">
        <v>-7962.38</v>
      </c>
      <c r="J3" s="2">
        <v>-9.7000000000000003E-3</v>
      </c>
      <c r="M3" s="1">
        <v>824493.63</v>
      </c>
      <c r="N3" s="1">
        <v>-7962.38</v>
      </c>
      <c r="O3" s="2">
        <v>-9.7000000000000003E-3</v>
      </c>
    </row>
    <row r="4" spans="2:15" x14ac:dyDescent="0.2">
      <c r="B4" t="s">
        <v>14</v>
      </c>
      <c r="C4" t="s">
        <v>15</v>
      </c>
      <c r="D4" t="s">
        <v>50</v>
      </c>
      <c r="E4">
        <v>95000</v>
      </c>
      <c r="F4" s="1">
        <v>98996.68</v>
      </c>
      <c r="G4" s="1">
        <v>99686.91</v>
      </c>
      <c r="H4" s="1">
        <v>104.9336</v>
      </c>
      <c r="I4" s="1">
        <v>-690.23</v>
      </c>
      <c r="J4" s="2">
        <v>-6.8999999999999999E-3</v>
      </c>
      <c r="M4" s="1">
        <v>99686.91</v>
      </c>
      <c r="N4" s="1">
        <v>-690.23</v>
      </c>
      <c r="O4" s="2">
        <v>-6.8999999999999999E-3</v>
      </c>
    </row>
    <row r="5" spans="2:15" x14ac:dyDescent="0.2">
      <c r="B5" t="s">
        <v>26</v>
      </c>
      <c r="C5" t="s">
        <v>27</v>
      </c>
      <c r="D5" t="s">
        <v>50</v>
      </c>
      <c r="E5">
        <v>4068000</v>
      </c>
      <c r="F5" s="1">
        <v>3493553.9</v>
      </c>
      <c r="G5" s="1">
        <v>3738215.24</v>
      </c>
      <c r="H5" s="1">
        <v>91.893199999999993</v>
      </c>
      <c r="I5" s="1">
        <v>-244661.34</v>
      </c>
      <c r="J5" s="2">
        <v>-6.54E-2</v>
      </c>
      <c r="M5" s="1">
        <v>3738215.24</v>
      </c>
      <c r="N5" s="1">
        <v>-244661.34</v>
      </c>
      <c r="O5" s="2">
        <v>-6.54E-2</v>
      </c>
    </row>
    <row r="6" spans="2:15" x14ac:dyDescent="0.2">
      <c r="B6" t="s">
        <v>28</v>
      </c>
      <c r="C6" t="s">
        <v>29</v>
      </c>
      <c r="D6" t="s">
        <v>50</v>
      </c>
      <c r="E6">
        <v>7525000</v>
      </c>
      <c r="F6" s="1">
        <v>6808949.2199999997</v>
      </c>
      <c r="G6" s="1">
        <v>7373388.4900000002</v>
      </c>
      <c r="H6" s="1">
        <v>97.995099999999994</v>
      </c>
      <c r="I6" s="1">
        <v>-564439.27</v>
      </c>
      <c r="J6" s="2">
        <v>-7.6600000000000001E-2</v>
      </c>
      <c r="M6" s="1">
        <v>7374133.0300000003</v>
      </c>
      <c r="N6" s="1">
        <v>-565183.81000000006</v>
      </c>
      <c r="O6" s="2">
        <v>-7.6600000000000001E-2</v>
      </c>
    </row>
    <row r="7" spans="2:15" x14ac:dyDescent="0.2">
      <c r="B7" t="s">
        <v>30</v>
      </c>
      <c r="C7" t="s">
        <v>31</v>
      </c>
      <c r="D7" t="s">
        <v>50</v>
      </c>
      <c r="E7">
        <v>4760000</v>
      </c>
      <c r="F7" s="1">
        <v>4669262.5</v>
      </c>
      <c r="G7" s="1">
        <v>4726681.6399999997</v>
      </c>
      <c r="H7" s="1">
        <v>99.302499999999995</v>
      </c>
      <c r="I7" s="1">
        <v>-57419.14</v>
      </c>
      <c r="J7" s="2">
        <v>-1.21E-2</v>
      </c>
      <c r="M7" s="1">
        <v>4726800.1500000004</v>
      </c>
      <c r="N7" s="1">
        <v>-57537.65</v>
      </c>
      <c r="O7" s="2">
        <v>-1.2200000000000001E-2</v>
      </c>
    </row>
    <row r="8" spans="2:15" x14ac:dyDescent="0.2">
      <c r="B8" t="s">
        <v>32</v>
      </c>
      <c r="C8" t="s">
        <v>33</v>
      </c>
      <c r="D8" t="s">
        <v>50</v>
      </c>
      <c r="E8">
        <v>2546000</v>
      </c>
      <c r="F8" s="1">
        <v>2401892.4300000002</v>
      </c>
      <c r="G8" s="1">
        <v>2499720.41</v>
      </c>
      <c r="H8" s="1">
        <v>98.182299999999998</v>
      </c>
      <c r="I8" s="1">
        <v>-97827.98</v>
      </c>
      <c r="J8" s="2">
        <v>-3.9100000000000003E-2</v>
      </c>
      <c r="M8" s="1">
        <v>2499720.41</v>
      </c>
      <c r="N8" s="1">
        <v>-97827.98</v>
      </c>
      <c r="O8" s="2">
        <v>-3.9100000000000003E-2</v>
      </c>
    </row>
    <row r="9" spans="2:15" x14ac:dyDescent="0.2">
      <c r="B9" t="s">
        <v>34</v>
      </c>
      <c r="C9" t="s">
        <v>35</v>
      </c>
      <c r="D9" t="s">
        <v>50</v>
      </c>
      <c r="E9">
        <v>1972000</v>
      </c>
      <c r="F9" s="1">
        <v>1930403.13</v>
      </c>
      <c r="G9" s="1">
        <v>1962657.88</v>
      </c>
      <c r="H9" s="1">
        <v>99.5291</v>
      </c>
      <c r="I9" s="1">
        <v>-32254.75</v>
      </c>
      <c r="J9" s="2">
        <v>-1.6400000000000001E-2</v>
      </c>
      <c r="M9" s="1">
        <v>1962714.74</v>
      </c>
      <c r="N9" s="1">
        <v>-32311.61</v>
      </c>
      <c r="O9" s="2">
        <v>-1.6500000000000001E-2</v>
      </c>
    </row>
    <row r="10" spans="2:15" x14ac:dyDescent="0.2">
      <c r="B10" t="s">
        <v>36</v>
      </c>
      <c r="C10" t="s">
        <v>37</v>
      </c>
      <c r="D10" t="s">
        <v>50</v>
      </c>
      <c r="E10">
        <v>164000</v>
      </c>
      <c r="F10" s="1">
        <v>165467.03</v>
      </c>
      <c r="G10" s="1">
        <v>166028.12</v>
      </c>
      <c r="H10" s="1">
        <v>101.24160000000001</v>
      </c>
      <c r="I10" s="1">
        <v>-561.09</v>
      </c>
      <c r="J10" s="2">
        <v>-3.3999999999999998E-3</v>
      </c>
      <c r="M10" s="1">
        <v>166036.25</v>
      </c>
      <c r="N10" s="1">
        <v>-569.22</v>
      </c>
      <c r="O10" s="2">
        <v>-3.3999999999999998E-3</v>
      </c>
    </row>
    <row r="11" spans="2:15" x14ac:dyDescent="0.2">
      <c r="B11" t="s">
        <v>38</v>
      </c>
      <c r="C11" t="s">
        <v>39</v>
      </c>
      <c r="D11" t="s">
        <v>50</v>
      </c>
      <c r="E11">
        <v>1882000</v>
      </c>
      <c r="F11" s="1">
        <v>1933828.51</v>
      </c>
      <c r="G11" s="1">
        <v>1894724.75</v>
      </c>
      <c r="H11" s="1">
        <v>100.80759999999999</v>
      </c>
      <c r="I11" s="1">
        <v>39103.760000000002</v>
      </c>
      <c r="J11" s="2">
        <v>2.06E-2</v>
      </c>
      <c r="M11" s="1">
        <v>1897199</v>
      </c>
      <c r="N11" s="1">
        <v>36629.51</v>
      </c>
      <c r="O11" s="2">
        <v>1.9300000000000001E-2</v>
      </c>
    </row>
    <row r="12" spans="2:15" x14ac:dyDescent="0.2">
      <c r="B12" t="s">
        <v>40</v>
      </c>
      <c r="C12" t="s">
        <v>41</v>
      </c>
      <c r="D12" t="s">
        <v>50</v>
      </c>
      <c r="E12">
        <v>150000</v>
      </c>
      <c r="F12" s="1">
        <v>149531.25</v>
      </c>
      <c r="G12" s="1">
        <v>150944.63</v>
      </c>
      <c r="H12" s="1">
        <v>100.6482</v>
      </c>
      <c r="I12" s="1">
        <v>-1413.38</v>
      </c>
      <c r="J12" s="2">
        <v>-9.4000000000000004E-3</v>
      </c>
      <c r="M12" s="1">
        <v>150972.26999999999</v>
      </c>
      <c r="N12" s="1">
        <v>-1441.02</v>
      </c>
      <c r="O12" s="2">
        <v>-9.4999999999999998E-3</v>
      </c>
    </row>
    <row r="13" spans="2:15" x14ac:dyDescent="0.2">
      <c r="B13" t="s">
        <v>42</v>
      </c>
      <c r="C13" t="s">
        <v>43</v>
      </c>
      <c r="D13" t="s">
        <v>50</v>
      </c>
      <c r="E13">
        <v>805000</v>
      </c>
      <c r="F13" s="1">
        <v>798962.5</v>
      </c>
      <c r="G13" s="1">
        <v>786297.54</v>
      </c>
      <c r="H13" s="1">
        <v>97.676699999999997</v>
      </c>
      <c r="I13" s="1">
        <v>12664.96</v>
      </c>
      <c r="J13" s="2">
        <v>1.61E-2</v>
      </c>
      <c r="M13" s="1">
        <v>786297.54</v>
      </c>
      <c r="N13" s="1">
        <v>12664.96</v>
      </c>
      <c r="O13" s="2">
        <v>1.61E-2</v>
      </c>
    </row>
    <row r="14" spans="2:15" x14ac:dyDescent="0.2">
      <c r="B14" t="s">
        <v>16</v>
      </c>
      <c r="C14" t="s">
        <v>17</v>
      </c>
      <c r="D14" t="s">
        <v>50</v>
      </c>
      <c r="E14">
        <v>850000</v>
      </c>
      <c r="F14" s="1">
        <v>852888.67</v>
      </c>
      <c r="G14" s="1">
        <v>853680.5</v>
      </c>
      <c r="H14" s="1">
        <v>100.43300000000001</v>
      </c>
      <c r="I14" s="1">
        <v>-791.83</v>
      </c>
      <c r="J14" s="2">
        <v>-8.9999999999999998E-4</v>
      </c>
      <c r="M14" s="1">
        <v>853680.5</v>
      </c>
      <c r="N14" s="1">
        <v>-791.83</v>
      </c>
      <c r="O14" s="2">
        <v>-8.9999999999999998E-4</v>
      </c>
    </row>
    <row r="15" spans="2:15" x14ac:dyDescent="0.2">
      <c r="B15" t="s">
        <v>20</v>
      </c>
      <c r="C15" t="s">
        <v>21</v>
      </c>
      <c r="D15" t="s">
        <v>50</v>
      </c>
      <c r="E15">
        <v>409000</v>
      </c>
      <c r="F15" s="1">
        <v>411428.44</v>
      </c>
      <c r="G15" s="1">
        <v>397600.24</v>
      </c>
      <c r="H15" s="1">
        <v>97.212800000000001</v>
      </c>
      <c r="I15" s="1">
        <v>13828.2</v>
      </c>
      <c r="J15" s="2">
        <v>3.4799999999999998E-2</v>
      </c>
      <c r="M15" s="1">
        <v>397600.24</v>
      </c>
      <c r="N15" s="1">
        <v>13828.2</v>
      </c>
      <c r="O15" s="2">
        <v>3.4799999999999998E-2</v>
      </c>
    </row>
    <row r="16" spans="2:15" x14ac:dyDescent="0.2">
      <c r="B16" t="s">
        <v>44</v>
      </c>
      <c r="C16" t="s">
        <v>45</v>
      </c>
      <c r="D16" t="s">
        <v>50</v>
      </c>
      <c r="E16">
        <v>850000</v>
      </c>
      <c r="F16" s="1">
        <v>854349.61</v>
      </c>
      <c r="G16" s="1">
        <v>855233.41</v>
      </c>
      <c r="H16" s="1">
        <v>100.625</v>
      </c>
      <c r="I16" s="1">
        <v>-883.8</v>
      </c>
      <c r="J16" s="2">
        <v>-1E-3</v>
      </c>
      <c r="M16" s="1">
        <v>855312.5</v>
      </c>
      <c r="N16" s="1">
        <v>-962.89</v>
      </c>
      <c r="O16" s="2">
        <v>-1.1000000000000001E-3</v>
      </c>
    </row>
    <row r="17" spans="2:15" x14ac:dyDescent="0.2">
      <c r="B17" t="s">
        <v>46</v>
      </c>
      <c r="C17" t="s">
        <v>47</v>
      </c>
      <c r="D17" t="s">
        <v>50</v>
      </c>
      <c r="E17">
        <v>1585000</v>
      </c>
      <c r="F17" s="1">
        <v>1590943.75</v>
      </c>
      <c r="G17" s="1">
        <v>1554798.6</v>
      </c>
      <c r="H17" s="1">
        <v>98.094499999999996</v>
      </c>
      <c r="I17" s="1">
        <v>36145.15</v>
      </c>
      <c r="J17" s="2">
        <v>2.3199999999999998E-2</v>
      </c>
      <c r="M17" s="1">
        <v>1554798.6</v>
      </c>
      <c r="N17" s="1">
        <v>36145.15</v>
      </c>
      <c r="O17" s="2">
        <v>2.3199999999999998E-2</v>
      </c>
    </row>
    <row r="18" spans="2:15" x14ac:dyDescent="0.2">
      <c r="B18" t="s">
        <v>22</v>
      </c>
      <c r="C18" t="s">
        <v>23</v>
      </c>
      <c r="D18" t="s">
        <v>50</v>
      </c>
      <c r="E18">
        <v>1672000</v>
      </c>
      <c r="F18" s="1">
        <v>1673567.5</v>
      </c>
      <c r="G18" s="1">
        <v>1674594.18</v>
      </c>
      <c r="H18" s="1">
        <v>100.15519999999999</v>
      </c>
      <c r="I18" s="1">
        <v>-1026.68</v>
      </c>
      <c r="J18" s="2">
        <v>-5.9999999999999995E-4</v>
      </c>
      <c r="M18" s="1">
        <v>1674594.18</v>
      </c>
      <c r="N18" s="1">
        <v>-1026.68</v>
      </c>
      <c r="O18" s="2">
        <v>-5.9999999999999995E-4</v>
      </c>
    </row>
    <row r="19" spans="2:15" x14ac:dyDescent="0.2">
      <c r="B19" t="s">
        <v>48</v>
      </c>
      <c r="C19" t="s">
        <v>49</v>
      </c>
      <c r="D19" t="s">
        <v>50</v>
      </c>
      <c r="E19">
        <v>137000</v>
      </c>
      <c r="F19" s="1">
        <v>136866.21</v>
      </c>
      <c r="G19" s="1">
        <v>137144.49</v>
      </c>
      <c r="H19" s="1">
        <v>100.10550000000001</v>
      </c>
      <c r="I19" s="1">
        <v>-278.27999999999997</v>
      </c>
      <c r="J19" s="2">
        <v>-2E-3</v>
      </c>
      <c r="M19" s="1">
        <v>137144.49</v>
      </c>
      <c r="N19" s="1">
        <v>-278.27999999999997</v>
      </c>
      <c r="O19" s="2">
        <v>-2E-3</v>
      </c>
    </row>
    <row r="20" spans="2:15" x14ac:dyDescent="0.2">
      <c r="E20"/>
    </row>
    <row r="21" spans="2:15" x14ac:dyDescent="0.2">
      <c r="E21"/>
    </row>
    <row r="22" spans="2:15" x14ac:dyDescent="0.2">
      <c r="E22"/>
    </row>
    <row r="23" spans="2:15" x14ac:dyDescent="0.2">
      <c r="E23"/>
    </row>
    <row r="24" spans="2:15" x14ac:dyDescent="0.2">
      <c r="E24"/>
    </row>
    <row r="25" spans="2:15" x14ac:dyDescent="0.2">
      <c r="E25"/>
    </row>
    <row r="26" spans="2:15" x14ac:dyDescent="0.2">
      <c r="E26"/>
    </row>
    <row r="27" spans="2:15" x14ac:dyDescent="0.2">
      <c r="E27"/>
    </row>
    <row r="28" spans="2:15" x14ac:dyDescent="0.2">
      <c r="E28"/>
    </row>
    <row r="29" spans="2:15" x14ac:dyDescent="0.2">
      <c r="E29"/>
    </row>
    <row r="30" spans="2:15" x14ac:dyDescent="0.2">
      <c r="E30"/>
    </row>
    <row r="31" spans="2:15" x14ac:dyDescent="0.2">
      <c r="E31"/>
    </row>
    <row r="32" spans="2:15" x14ac:dyDescent="0.2">
      <c r="E32"/>
    </row>
    <row r="33" spans="5:5" x14ac:dyDescent="0.2">
      <c r="E33"/>
    </row>
    <row r="34" spans="5:5" x14ac:dyDescent="0.2">
      <c r="E34"/>
    </row>
    <row r="35" spans="5:5" x14ac:dyDescent="0.2">
      <c r="E35"/>
    </row>
    <row r="36" spans="5:5" x14ac:dyDescent="0.2">
      <c r="E36"/>
    </row>
    <row r="37" spans="5:5" x14ac:dyDescent="0.2">
      <c r="E37"/>
    </row>
    <row r="38" spans="5:5" x14ac:dyDescent="0.2">
      <c r="E38"/>
    </row>
    <row r="39" spans="5:5" x14ac:dyDescent="0.2">
      <c r="E39"/>
    </row>
    <row r="40" spans="5:5" x14ac:dyDescent="0.2">
      <c r="E40"/>
    </row>
    <row r="41" spans="5:5" x14ac:dyDescent="0.2">
      <c r="E41"/>
    </row>
    <row r="42" spans="5:5" x14ac:dyDescent="0.2">
      <c r="E42"/>
    </row>
    <row r="43" spans="5:5" x14ac:dyDescent="0.2">
      <c r="E43"/>
    </row>
    <row r="44" spans="5:5" x14ac:dyDescent="0.2">
      <c r="E44"/>
    </row>
    <row r="45" spans="5:5" x14ac:dyDescent="0.2">
      <c r="E45"/>
    </row>
    <row r="46" spans="5:5" x14ac:dyDescent="0.2">
      <c r="E46"/>
    </row>
    <row r="47" spans="5:5" x14ac:dyDescent="0.2">
      <c r="E47"/>
    </row>
    <row r="48" spans="5:5" x14ac:dyDescent="0.2">
      <c r="E48"/>
    </row>
    <row r="49" spans="5:5" x14ac:dyDescent="0.2">
      <c r="E49"/>
    </row>
    <row r="50" spans="5:5" x14ac:dyDescent="0.2">
      <c r="E50"/>
    </row>
    <row r="51" spans="5:5" x14ac:dyDescent="0.2">
      <c r="E51"/>
    </row>
    <row r="52" spans="5:5" x14ac:dyDescent="0.2">
      <c r="E52"/>
    </row>
    <row r="53" spans="5:5" x14ac:dyDescent="0.2">
      <c r="E53"/>
    </row>
    <row r="54" spans="5:5" x14ac:dyDescent="0.2">
      <c r="E54"/>
    </row>
    <row r="55" spans="5:5" x14ac:dyDescent="0.2">
      <c r="E55"/>
    </row>
    <row r="56" spans="5:5" x14ac:dyDescent="0.2">
      <c r="E56"/>
    </row>
    <row r="57" spans="5:5" x14ac:dyDescent="0.2">
      <c r="E57"/>
    </row>
    <row r="58" spans="5:5" x14ac:dyDescent="0.2">
      <c r="E58"/>
    </row>
    <row r="59" spans="5:5" x14ac:dyDescent="0.2">
      <c r="E59"/>
    </row>
    <row r="60" spans="5:5" x14ac:dyDescent="0.2">
      <c r="E60"/>
    </row>
    <row r="61" spans="5:5" x14ac:dyDescent="0.2">
      <c r="E61"/>
    </row>
    <row r="62" spans="5:5" x14ac:dyDescent="0.2">
      <c r="E62"/>
    </row>
    <row r="63" spans="5:5" x14ac:dyDescent="0.2">
      <c r="E63"/>
    </row>
    <row r="64" spans="5:5" x14ac:dyDescent="0.2">
      <c r="E64"/>
    </row>
    <row r="65" spans="5:5" x14ac:dyDescent="0.2">
      <c r="E65"/>
    </row>
    <row r="66" spans="5:5" x14ac:dyDescent="0.2">
      <c r="E66"/>
    </row>
    <row r="67" spans="5:5" x14ac:dyDescent="0.2">
      <c r="E67"/>
    </row>
    <row r="68" spans="5:5" x14ac:dyDescent="0.2">
      <c r="E68"/>
    </row>
    <row r="69" spans="5:5" x14ac:dyDescent="0.2">
      <c r="E69"/>
    </row>
    <row r="70" spans="5:5" x14ac:dyDescent="0.2">
      <c r="E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Summary</vt:lpstr>
      <vt:lpstr>RAJR 2021</vt:lpstr>
      <vt:lpstr>Individual</vt:lpstr>
      <vt:lpstr>Trust</vt:lpstr>
      <vt:lpstr>Quarantine Tech</vt:lpstr>
      <vt:lpstr>ESP Apartments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McDonnell</dc:creator>
  <cp:lastModifiedBy>carlos blanco sanchez</cp:lastModifiedBy>
  <dcterms:created xsi:type="dcterms:W3CDTF">2026-01-30T22:14:47Z</dcterms:created>
  <dcterms:modified xsi:type="dcterms:W3CDTF">2026-02-10T13:01:42Z</dcterms:modified>
</cp:coreProperties>
</file>